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5315" windowHeight="1890" activeTab="2"/>
  </bookViews>
  <sheets>
    <sheet name="P4-5" sheetId="1" r:id="rId1"/>
    <sheet name="P4-6" sheetId="2" r:id="rId2"/>
    <sheet name="P4-9" sheetId="3" r:id="rId3"/>
    <sheet name="P4-15" sheetId="4" r:id="rId4"/>
    <sheet name="P4-18" sheetId="5" r:id="rId5"/>
  </sheets>
  <calcPr calcId="144525"/>
</workbook>
</file>

<file path=xl/calcChain.xml><?xml version="1.0" encoding="utf-8"?>
<calcChain xmlns="http://schemas.openxmlformats.org/spreadsheetml/2006/main">
  <c r="E14" i="5" l="1"/>
  <c r="E13" i="5"/>
  <c r="E16" i="5"/>
  <c r="E11" i="5"/>
  <c r="E8" i="5"/>
  <c r="C13" i="5"/>
  <c r="C11" i="5"/>
  <c r="C10" i="5"/>
  <c r="C12" i="5" s="1"/>
  <c r="C14" i="5" s="1"/>
  <c r="H13" i="4"/>
  <c r="H9" i="4"/>
  <c r="H10" i="4" s="1"/>
  <c r="H14" i="4" s="1"/>
  <c r="H16" i="4" s="1"/>
  <c r="C10" i="4"/>
  <c r="C8" i="4"/>
  <c r="C9" i="4" s="1"/>
  <c r="C11" i="4" s="1"/>
  <c r="C13" i="4" s="1"/>
  <c r="G17" i="3"/>
  <c r="G22" i="3" s="1"/>
  <c r="G27" i="3" s="1"/>
  <c r="H17" i="3"/>
  <c r="H22" i="3" s="1"/>
  <c r="H27" i="3" s="1"/>
  <c r="F17" i="3"/>
  <c r="F22" i="3" s="1"/>
  <c r="F27" i="3" s="1"/>
  <c r="G9" i="3"/>
  <c r="H9" i="3"/>
  <c r="F9" i="3"/>
  <c r="F8" i="3"/>
  <c r="G8" i="3"/>
  <c r="H8" i="3"/>
  <c r="E8" i="3"/>
  <c r="D7" i="3"/>
  <c r="E7" i="3"/>
  <c r="F7" i="3"/>
  <c r="F11" i="3" s="1"/>
  <c r="F26" i="3" s="1"/>
  <c r="F28" i="3" s="1"/>
  <c r="G7" i="3"/>
  <c r="G11" i="3" s="1"/>
  <c r="G26" i="3" s="1"/>
  <c r="H7" i="3"/>
  <c r="H11" i="3" s="1"/>
  <c r="H26" i="3" s="1"/>
  <c r="H28" i="3" s="1"/>
  <c r="H17" i="4" l="1"/>
  <c r="H18" i="4" s="1"/>
  <c r="H20" i="4" s="1"/>
  <c r="C14" i="4"/>
  <c r="C15" i="4" s="1"/>
  <c r="C17" i="4" s="1"/>
  <c r="G28" i="3"/>
  <c r="F30" i="3"/>
  <c r="F34" i="3" s="1"/>
  <c r="G29" i="3"/>
  <c r="G30" i="3" s="1"/>
  <c r="G32" i="3" s="1"/>
  <c r="C31" i="2"/>
  <c r="C30" i="2"/>
  <c r="C33" i="2" s="1"/>
  <c r="C32" i="2"/>
  <c r="C19" i="2"/>
  <c r="C34" i="2" s="1"/>
  <c r="C36" i="2" s="1"/>
  <c r="C9" i="2"/>
  <c r="H29" i="3" l="1"/>
  <c r="H30" i="3" s="1"/>
  <c r="H32" i="3" s="1"/>
</calcChain>
</file>

<file path=xl/sharedStrings.xml><?xml version="1.0" encoding="utf-8"?>
<sst xmlns="http://schemas.openxmlformats.org/spreadsheetml/2006/main" count="190" uniqueCount="151">
  <si>
    <t>Item</t>
  </si>
  <si>
    <t>Change $</t>
  </si>
  <si>
    <t>Classification</t>
  </si>
  <si>
    <t>Cash</t>
  </si>
  <si>
    <t>Accounts Payable</t>
  </si>
  <si>
    <t>Notes Payable</t>
  </si>
  <si>
    <t>Long-term debt</t>
  </si>
  <si>
    <t>Inventory</t>
  </si>
  <si>
    <t>Fixed assets</t>
  </si>
  <si>
    <t>Net profits</t>
  </si>
  <si>
    <t>Depreciation</t>
  </si>
  <si>
    <t>Repurchase of stock</t>
  </si>
  <si>
    <t>Cash dividends</t>
  </si>
  <si>
    <t>Sale of stock</t>
  </si>
  <si>
    <t>+800</t>
  </si>
  <si>
    <t>+1000</t>
  </si>
  <si>
    <t>-700</t>
  </si>
  <si>
    <t>+400</t>
  </si>
  <si>
    <t>+100</t>
  </si>
  <si>
    <t>+600</t>
  </si>
  <si>
    <t>+200</t>
  </si>
  <si>
    <t>-2000</t>
  </si>
  <si>
    <t>+500</t>
  </si>
  <si>
    <t>-1000</t>
  </si>
  <si>
    <t>Outflow</t>
  </si>
  <si>
    <t>Inflow</t>
  </si>
  <si>
    <t xml:space="preserve">Finding operating and free cash flows </t>
  </si>
  <si>
    <t>Classifying inflows and outflows of cash</t>
  </si>
  <si>
    <t>P4-6</t>
  </si>
  <si>
    <t>P4-5</t>
  </si>
  <si>
    <t>a</t>
  </si>
  <si>
    <t>Net Operating Profit After Tax (NOPAT)</t>
  </si>
  <si>
    <t xml:space="preserve"> = EBIT*(1-t)</t>
  </si>
  <si>
    <t>Input</t>
  </si>
  <si>
    <t>EBIT</t>
  </si>
  <si>
    <t>t</t>
  </si>
  <si>
    <t>Results</t>
  </si>
  <si>
    <t>NOPAT</t>
  </si>
  <si>
    <t>b</t>
  </si>
  <si>
    <t>Operating Cash Flow, OCF</t>
  </si>
  <si>
    <t>OFC</t>
  </si>
  <si>
    <t>c</t>
  </si>
  <si>
    <t xml:space="preserve"> = EBIT*(1-t)+Depreciation</t>
  </si>
  <si>
    <t>Free Cash Flow, FCF</t>
  </si>
  <si>
    <t xml:space="preserve"> = OFC - NFAI - NCAI</t>
  </si>
  <si>
    <t>Net Fixed assets 2014</t>
  </si>
  <si>
    <t>Net Fixed assets 2015</t>
  </si>
  <si>
    <t>NFAI = Change in fixed assets + Depreciation</t>
  </si>
  <si>
    <t>NCAI = Change in fixed assets - Change in (accounts payable + accruals)</t>
  </si>
  <si>
    <t>Net Current assets 2014</t>
  </si>
  <si>
    <t>Net Current assets 2015</t>
  </si>
  <si>
    <t>Accounts payable + Accruals 2014</t>
  </si>
  <si>
    <t>Accounts payable + Accruals 2015</t>
  </si>
  <si>
    <t>FCF = OFC - NFAI - NCAI</t>
  </si>
  <si>
    <t>d</t>
  </si>
  <si>
    <t>P4-9</t>
  </si>
  <si>
    <t>Cash Budget</t>
  </si>
  <si>
    <t>CASH RECEIPTS SCHEDULE:</t>
  </si>
  <si>
    <t>March</t>
  </si>
  <si>
    <t>April</t>
  </si>
  <si>
    <t>May</t>
  </si>
  <si>
    <t>June</t>
  </si>
  <si>
    <t>July</t>
  </si>
  <si>
    <t>Sales receipts</t>
  </si>
  <si>
    <t>Percentages:</t>
  </si>
  <si>
    <t>Cash Sales</t>
  </si>
  <si>
    <t>Lag 1 mo.</t>
  </si>
  <si>
    <t>Lag 2 mo.</t>
  </si>
  <si>
    <t>Other income</t>
  </si>
  <si>
    <t>Total cash receipts</t>
  </si>
  <si>
    <t>CASH DISBURSEMENTS SCHEDULE:</t>
  </si>
  <si>
    <t>Disbursements:</t>
  </si>
  <si>
    <t xml:space="preserve"> </t>
  </si>
  <si>
    <t>Purchases</t>
  </si>
  <si>
    <t>Rent</t>
  </si>
  <si>
    <t>Wages &amp; salaries</t>
  </si>
  <si>
    <t>Dividends</t>
  </si>
  <si>
    <t>Principal &amp; Interest</t>
  </si>
  <si>
    <t>Purchase of new equipment</t>
  </si>
  <si>
    <t>Taxes due</t>
  </si>
  <si>
    <t>Total cash disbursements</t>
  </si>
  <si>
    <t>CASH BUDGET:</t>
  </si>
  <si>
    <t>Net cash flow</t>
  </si>
  <si>
    <t>Add: Beginning cash</t>
  </si>
  <si>
    <t>Ending cash</t>
  </si>
  <si>
    <t>Less: Minimum cash</t>
  </si>
  <si>
    <t>Less: Total cash disbursements</t>
  </si>
  <si>
    <t>Required total financing (Notes Payable)</t>
  </si>
  <si>
    <r>
      <rPr>
        <b/>
        <sz val="12"/>
        <color theme="1"/>
        <rFont val="Times New Roman"/>
        <family val="1"/>
      </rPr>
      <t>Comment</t>
    </r>
    <r>
      <rPr>
        <sz val="12"/>
        <color theme="1"/>
        <rFont val="Times New Roman"/>
        <family val="1"/>
      </rPr>
      <t xml:space="preserve"> </t>
    </r>
  </si>
  <si>
    <t>Pro forma income statement</t>
  </si>
  <si>
    <t>P4-15</t>
  </si>
  <si>
    <t>Pro Forma Income Statement</t>
  </si>
  <si>
    <t>Metroline Manufacturing, Inc.</t>
  </si>
  <si>
    <t>(percent-of-sales method)</t>
  </si>
  <si>
    <t>Sales</t>
  </si>
  <si>
    <t>Gross profits</t>
  </si>
  <si>
    <t>Operating profits</t>
  </si>
  <si>
    <t> Less: Interest expense</t>
  </si>
  <si>
    <t>Net profits before taxes</t>
  </si>
  <si>
    <t>Net profits after taxes</t>
  </si>
  <si>
    <t> Less: Cash dividends</t>
  </si>
  <si>
    <t>To retained earnings</t>
  </si>
  <si>
    <t>for the Year Ended December 31, 2016</t>
  </si>
  <si>
    <t>(based on fixed and variable cost data)</t>
  </si>
  <si>
    <t xml:space="preserve">     Fixed cost</t>
  </si>
  <si>
    <t xml:space="preserve">     Variable cost (0.50 * sales)</t>
  </si>
  <si>
    <t xml:space="preserve">     Fixed expense</t>
  </si>
  <si>
    <t xml:space="preserve">     Variable expense (0.06 * sales)</t>
  </si>
  <si>
    <t> Less: Cost of goods sold (0.65* sales)</t>
  </si>
  <si>
    <t> Less: Operating expenses (0.0857 * sales)</t>
  </si>
  <si>
    <t> Less: Taxes (0.40 * NPBT)</t>
  </si>
  <si>
    <t xml:space="preserve">   Less: Cost of goods sold</t>
  </si>
  <si>
    <t xml:space="preserve">  Less: Operating expense:</t>
  </si>
  <si>
    <t xml:space="preserve">  Less: Interest expense</t>
  </si>
  <si>
    <t xml:space="preserve">  Less: Taxes (0.40 * NPBT)</t>
  </si>
  <si>
    <t xml:space="preserve">  Less: Cash dividends</t>
  </si>
  <si>
    <t>Pro Forma Balance Sheet</t>
  </si>
  <si>
    <t>Peabody &amp; Peabody</t>
  </si>
  <si>
    <t>Assets</t>
  </si>
  <si>
    <t>Current assets</t>
  </si>
  <si>
    <t>  Cash</t>
  </si>
  <si>
    <t>  Marketable securities</t>
  </si>
  <si>
    <t>  Accounts receivable</t>
  </si>
  <si>
    <t>  Inventories</t>
  </si>
  <si>
    <t>Total current assets</t>
  </si>
  <si>
    <t>  Net fixed assets</t>
  </si>
  <si>
    <t>Total assets</t>
  </si>
  <si>
    <t>Liabilities and stockholders’ equity</t>
  </si>
  <si>
    <t>Current liabilities</t>
  </si>
  <si>
    <t>  Accounts payable</t>
  </si>
  <si>
    <t>  Accruals</t>
  </si>
  <si>
    <t>  Other current liabilities</t>
  </si>
  <si>
    <t>Total current liabilities</t>
  </si>
  <si>
    <t>  Long-term debts</t>
  </si>
  <si>
    <t>Total liabilities</t>
  </si>
  <si>
    <t>  Common equity</t>
  </si>
  <si>
    <t>  External funds required</t>
  </si>
  <si>
    <t>Total liabilities and stockholders’ equity</t>
  </si>
  <si>
    <t>4000000(from 2015)+850000(machine)+650000(Equipment)-290000(Depreciation)-390000(Depreciation)</t>
  </si>
  <si>
    <t>Note</t>
  </si>
  <si>
    <t>Net fixed assets=</t>
  </si>
  <si>
    <t>Common Equity=</t>
  </si>
  <si>
    <t>3720000+(from 2015)(0.03*12000000*0.5)(from 2015)+(0.03*11000000*0.5)(from 2015)</t>
  </si>
  <si>
    <t>P4-18</t>
  </si>
  <si>
    <t>Financial changes</t>
  </si>
  <si>
    <t xml:space="preserve">From the balance sheet, the Peabody &amp; Peabody should secure $775,000 over 2016 and 2017 to cover all constrains and meet the predictions. </t>
  </si>
  <si>
    <t>Excess cash balance(Marketable securities)</t>
  </si>
  <si>
    <t xml:space="preserve">The outcome in part b represents the cash flow generated from the firm's normal operations excluding the impact of interest on the cash flow which is considered in part c. From the production and sales of the firm's output, $3220 was generated in 2015.The outcome in part c represent the cash flow amount available to investors implying the firm generated enough cash flow to meet its operation and investments and leave $420 to pay investors which also exceeded the interest expense of $367. </t>
  </si>
  <si>
    <t>Accounts Receivables</t>
  </si>
  <si>
    <r>
      <t xml:space="preserve">The net profit for the second statement was higher after taxes considering lower operating expenses and </t>
    </r>
    <r>
      <rPr>
        <i/>
        <sz val="12"/>
        <color theme="1"/>
        <rFont val="Times New Roman"/>
        <family val="1"/>
      </rPr>
      <t>cog</t>
    </r>
    <r>
      <rPr>
        <sz val="12"/>
        <color theme="1"/>
        <rFont val="Times New Roman"/>
        <family val="1"/>
      </rPr>
      <t xml:space="preserve">sold were applied unlike in the first profoma where all expenses were treated as variable cost hence more costs. The second statement provides better estimates considering that the variable costs used in the first statement might remain fixed as in second statement. </t>
    </r>
  </si>
  <si>
    <t>A credit line of at least $31,000 should be established by the firm.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</si>
</sst>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u/>
      <sz val="12"/>
      <color theme="1"/>
      <name val="Times New Roman"/>
      <family val="1"/>
    </font>
    <font>
      <sz val="12"/>
      <name val="Times New Roman"/>
      <family val="1"/>
    </font>
    <font>
      <b/>
      <sz val="12"/>
      <name val="Times New Roman"/>
      <family val="1"/>
    </font>
    <font>
      <i/>
      <sz val="12"/>
      <color theme="1"/>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3">
    <xf numFmtId="0" fontId="0" fillId="0" borderId="0" xfId="0"/>
    <xf numFmtId="0" fontId="2" fillId="0" borderId="0" xfId="0" applyFont="1" applyAlignment="1">
      <alignment horizontal="center"/>
    </xf>
    <xf numFmtId="0" fontId="2" fillId="0" borderId="0" xfId="0" applyFont="1"/>
    <xf numFmtId="49" fontId="2" fillId="0" borderId="0" xfId="0" applyNumberFormat="1" applyFont="1"/>
    <xf numFmtId="0" fontId="3" fillId="0" borderId="0" xfId="0" applyFont="1"/>
    <xf numFmtId="49" fontId="3" fillId="0" borderId="0" xfId="0" applyNumberFormat="1" applyFont="1"/>
    <xf numFmtId="0" fontId="3" fillId="2" borderId="0" xfId="0" applyFont="1" applyFill="1"/>
    <xf numFmtId="44" fontId="3" fillId="0" borderId="0" xfId="1" applyFont="1"/>
    <xf numFmtId="9" fontId="3" fillId="0" borderId="0" xfId="2" applyFont="1"/>
    <xf numFmtId="44" fontId="3" fillId="2" borderId="0" xfId="1" applyFont="1" applyFill="1"/>
    <xf numFmtId="44" fontId="3" fillId="0" borderId="0" xfId="0" applyNumberFormat="1" applyFont="1"/>
    <xf numFmtId="44" fontId="3" fillId="2" borderId="0" xfId="0" applyNumberFormat="1" applyFont="1" applyFill="1"/>
    <xf numFmtId="0" fontId="5" fillId="0" borderId="0" xfId="0" applyFont="1"/>
    <xf numFmtId="6" fontId="3" fillId="0" borderId="0" xfId="0" applyNumberFormat="1" applyFont="1"/>
    <xf numFmtId="164" fontId="3" fillId="0" borderId="0" xfId="1" applyNumberFormat="1" applyFont="1"/>
    <xf numFmtId="0" fontId="6" fillId="0" borderId="0" xfId="0" applyFont="1"/>
    <xf numFmtId="0" fontId="7" fillId="0" borderId="0" xfId="0" applyFont="1"/>
    <xf numFmtId="164" fontId="2" fillId="0" borderId="0" xfId="1" applyNumberFormat="1" applyFont="1"/>
    <xf numFmtId="164" fontId="5" fillId="0" borderId="0" xfId="1" applyNumberFormat="1" applyFont="1"/>
    <xf numFmtId="164" fontId="6" fillId="0" borderId="0" xfId="1" applyNumberFormat="1" applyFont="1" applyAlignment="1">
      <alignment horizontal="center"/>
    </xf>
    <xf numFmtId="164" fontId="3" fillId="2" borderId="0" xfId="1" applyNumberFormat="1" applyFont="1" applyFill="1" applyBorder="1"/>
    <xf numFmtId="9" fontId="3" fillId="0" borderId="0" xfId="0" applyNumberFormat="1" applyFont="1"/>
    <xf numFmtId="164" fontId="3" fillId="0" borderId="0" xfId="1" applyNumberFormat="1" applyFont="1" applyFill="1" applyBorder="1"/>
    <xf numFmtId="164" fontId="3" fillId="0" borderId="0" xfId="1" applyNumberFormat="1" applyFont="1" applyBorder="1"/>
    <xf numFmtId="0" fontId="2" fillId="0" borderId="0" xfId="0" applyFont="1" applyBorder="1" applyAlignment="1"/>
    <xf numFmtId="0" fontId="3" fillId="0" borderId="0" xfId="0" applyFont="1" applyBorder="1" applyAlignment="1"/>
    <xf numFmtId="6" fontId="3" fillId="0" borderId="0" xfId="0" applyNumberFormat="1" applyFont="1" applyBorder="1" applyAlignment="1"/>
    <xf numFmtId="3" fontId="3" fillId="0" borderId="0" xfId="0" applyNumberFormat="1" applyFont="1" applyBorder="1" applyAlignment="1"/>
    <xf numFmtId="3" fontId="4" fillId="0" borderId="0" xfId="0" applyNumberFormat="1" applyFont="1" applyBorder="1" applyAlignment="1"/>
    <xf numFmtId="0" fontId="2" fillId="0" borderId="0" xfId="1" applyNumberFormat="1" applyFont="1" applyBorder="1" applyAlignment="1"/>
    <xf numFmtId="0" fontId="3" fillId="0" borderId="0" xfId="1" applyNumberFormat="1" applyFont="1" applyBorder="1" applyAlignment="1"/>
    <xf numFmtId="0" fontId="3" fillId="0" borderId="0" xfId="0" applyFont="1" applyBorder="1" applyAlignment="1">
      <alignment vertical="center"/>
    </xf>
    <xf numFmtId="6" fontId="4" fillId="0" borderId="0" xfId="1" applyNumberFormat="1" applyFont="1" applyBorder="1" applyAlignment="1">
      <alignment horizontal="right" vertical="center"/>
    </xf>
    <xf numFmtId="6" fontId="3" fillId="0" borderId="0" xfId="1" applyNumberFormat="1" applyFont="1" applyBorder="1" applyAlignment="1">
      <alignment horizontal="right" vertical="center"/>
    </xf>
    <xf numFmtId="15" fontId="2" fillId="0" borderId="0" xfId="0" applyNumberFormat="1" applyFont="1" applyAlignment="1">
      <alignment horizontal="center"/>
    </xf>
    <xf numFmtId="3" fontId="3" fillId="0" borderId="0" xfId="0" applyNumberFormat="1" applyFont="1"/>
    <xf numFmtId="3" fontId="4" fillId="0" borderId="0" xfId="0" applyNumberFormat="1" applyFont="1"/>
    <xf numFmtId="6" fontId="4" fillId="0" borderId="0" xfId="0" applyNumberFormat="1" applyFont="1"/>
    <xf numFmtId="0" fontId="2" fillId="0" borderId="0" xfId="0" applyFont="1" applyAlignment="1">
      <alignment horizontal="center"/>
    </xf>
    <xf numFmtId="0" fontId="3" fillId="0" borderId="0" xfId="0" applyFont="1" applyAlignment="1">
      <alignment wrapText="1"/>
    </xf>
    <xf numFmtId="0" fontId="3" fillId="0" borderId="0" xfId="0" applyFont="1"/>
    <xf numFmtId="0" fontId="2" fillId="0" borderId="0" xfId="0" applyFont="1" applyBorder="1" applyAlignment="1">
      <alignment horizontal="center" vertical="center"/>
    </xf>
    <xf numFmtId="15" fontId="2" fillId="0" borderId="0" xfId="0" applyNumberFormat="1" applyFont="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K5" sqref="K5"/>
    </sheetView>
  </sheetViews>
  <sheetFormatPr defaultRowHeight="15.75" x14ac:dyDescent="0.25"/>
  <cols>
    <col min="1" max="1" width="9.140625" style="4"/>
    <col min="2" max="2" width="22" style="4" customWidth="1"/>
    <col min="3" max="3" width="13.42578125" style="5" customWidth="1"/>
    <col min="4" max="4" width="14.28515625" style="4" customWidth="1"/>
    <col min="5" max="16384" width="9.140625" style="4"/>
  </cols>
  <sheetData>
    <row r="1" spans="1:4" s="2" customFormat="1" x14ac:dyDescent="0.25">
      <c r="A1" s="2" t="s">
        <v>29</v>
      </c>
      <c r="B1" s="38" t="s">
        <v>27</v>
      </c>
      <c r="C1" s="38"/>
      <c r="D1" s="38"/>
    </row>
    <row r="2" spans="1:4" s="2" customFormat="1" x14ac:dyDescent="0.25">
      <c r="B2" s="1"/>
      <c r="C2" s="1"/>
      <c r="D2" s="1"/>
    </row>
    <row r="3" spans="1:4" s="2" customFormat="1" x14ac:dyDescent="0.25">
      <c r="B3" s="2" t="s">
        <v>0</v>
      </c>
      <c r="C3" s="3" t="s">
        <v>1</v>
      </c>
      <c r="D3" s="2" t="s">
        <v>2</v>
      </c>
    </row>
    <row r="4" spans="1:4" x14ac:dyDescent="0.25">
      <c r="B4" s="4" t="s">
        <v>3</v>
      </c>
      <c r="C4" s="5" t="s">
        <v>18</v>
      </c>
      <c r="D4" s="6" t="s">
        <v>24</v>
      </c>
    </row>
    <row r="5" spans="1:4" x14ac:dyDescent="0.25">
      <c r="B5" s="4" t="s">
        <v>4</v>
      </c>
      <c r="C5" s="5" t="s">
        <v>23</v>
      </c>
      <c r="D5" s="6" t="s">
        <v>24</v>
      </c>
    </row>
    <row r="6" spans="1:4" x14ac:dyDescent="0.25">
      <c r="B6" s="4" t="s">
        <v>5</v>
      </c>
      <c r="C6" s="5" t="s">
        <v>22</v>
      </c>
      <c r="D6" s="6" t="s">
        <v>25</v>
      </c>
    </row>
    <row r="7" spans="1:4" x14ac:dyDescent="0.25">
      <c r="B7" s="4" t="s">
        <v>6</v>
      </c>
      <c r="C7" s="5" t="s">
        <v>21</v>
      </c>
      <c r="D7" s="6" t="s">
        <v>24</v>
      </c>
    </row>
    <row r="8" spans="1:4" x14ac:dyDescent="0.25">
      <c r="B8" s="4" t="s">
        <v>7</v>
      </c>
      <c r="C8" s="5" t="s">
        <v>20</v>
      </c>
      <c r="D8" s="6" t="s">
        <v>24</v>
      </c>
    </row>
    <row r="9" spans="1:4" x14ac:dyDescent="0.25">
      <c r="B9" s="4" t="s">
        <v>8</v>
      </c>
      <c r="C9" s="5" t="s">
        <v>17</v>
      </c>
      <c r="D9" s="6" t="s">
        <v>24</v>
      </c>
    </row>
    <row r="10" spans="1:4" x14ac:dyDescent="0.25">
      <c r="B10" s="4" t="s">
        <v>148</v>
      </c>
      <c r="C10" s="5" t="s">
        <v>16</v>
      </c>
      <c r="D10" s="6" t="s">
        <v>25</v>
      </c>
    </row>
    <row r="11" spans="1:4" x14ac:dyDescent="0.25">
      <c r="B11" s="4" t="s">
        <v>9</v>
      </c>
      <c r="C11" s="5" t="s">
        <v>19</v>
      </c>
      <c r="D11" s="6" t="s">
        <v>25</v>
      </c>
    </row>
    <row r="12" spans="1:4" x14ac:dyDescent="0.25">
      <c r="B12" s="4" t="s">
        <v>10</v>
      </c>
      <c r="C12" s="5" t="s">
        <v>18</v>
      </c>
      <c r="D12" s="6" t="s">
        <v>25</v>
      </c>
    </row>
    <row r="13" spans="1:4" x14ac:dyDescent="0.25">
      <c r="B13" s="4" t="s">
        <v>11</v>
      </c>
      <c r="C13" s="5" t="s">
        <v>19</v>
      </c>
      <c r="D13" s="6" t="s">
        <v>24</v>
      </c>
    </row>
    <row r="14" spans="1:4" x14ac:dyDescent="0.25">
      <c r="B14" s="4" t="s">
        <v>12</v>
      </c>
      <c r="C14" s="5" t="s">
        <v>14</v>
      </c>
      <c r="D14" s="6" t="s">
        <v>24</v>
      </c>
    </row>
    <row r="15" spans="1:4" x14ac:dyDescent="0.25">
      <c r="B15" s="4" t="s">
        <v>13</v>
      </c>
      <c r="C15" s="5" t="s">
        <v>15</v>
      </c>
      <c r="D15" s="6" t="s">
        <v>25</v>
      </c>
    </row>
  </sheetData>
  <mergeCells count="1">
    <mergeCell ref="B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27" workbookViewId="0">
      <selection activeCell="D36" sqref="D36"/>
    </sheetView>
  </sheetViews>
  <sheetFormatPr defaultRowHeight="15.75" x14ac:dyDescent="0.25"/>
  <cols>
    <col min="1" max="1" width="9.140625" style="4"/>
    <col min="2" max="2" width="65.140625" style="4" customWidth="1"/>
    <col min="3" max="3" width="14" style="4" bestFit="1" customWidth="1"/>
    <col min="4" max="16384" width="9.140625" style="4"/>
  </cols>
  <sheetData>
    <row r="1" spans="1:3" s="2" customFormat="1" x14ac:dyDescent="0.25">
      <c r="A1" s="2" t="s">
        <v>28</v>
      </c>
      <c r="B1" s="2" t="s">
        <v>26</v>
      </c>
    </row>
    <row r="3" spans="1:3" x14ac:dyDescent="0.25">
      <c r="A3" s="4" t="s">
        <v>30</v>
      </c>
      <c r="B3" s="4" t="s">
        <v>31</v>
      </c>
    </row>
    <row r="4" spans="1:3" x14ac:dyDescent="0.25">
      <c r="B4" s="4" t="s">
        <v>32</v>
      </c>
    </row>
    <row r="5" spans="1:3" x14ac:dyDescent="0.25">
      <c r="B5" s="2" t="s">
        <v>33</v>
      </c>
    </row>
    <row r="6" spans="1:3" x14ac:dyDescent="0.25">
      <c r="B6" s="4" t="s">
        <v>34</v>
      </c>
      <c r="C6" s="7">
        <v>2700</v>
      </c>
    </row>
    <row r="7" spans="1:3" x14ac:dyDescent="0.25">
      <c r="B7" s="4" t="s">
        <v>35</v>
      </c>
      <c r="C7" s="8">
        <v>0.4</v>
      </c>
    </row>
    <row r="8" spans="1:3" x14ac:dyDescent="0.25">
      <c r="B8" s="2" t="s">
        <v>36</v>
      </c>
    </row>
    <row r="9" spans="1:3" x14ac:dyDescent="0.25">
      <c r="B9" s="4" t="s">
        <v>37</v>
      </c>
      <c r="C9" s="9">
        <f>C6*(1-C7)</f>
        <v>1620</v>
      </c>
    </row>
    <row r="12" spans="1:3" x14ac:dyDescent="0.25">
      <c r="A12" s="4" t="s">
        <v>38</v>
      </c>
      <c r="B12" s="4" t="s">
        <v>39</v>
      </c>
    </row>
    <row r="13" spans="1:3" x14ac:dyDescent="0.25">
      <c r="B13" s="4" t="s">
        <v>42</v>
      </c>
    </row>
    <row r="14" spans="1:3" x14ac:dyDescent="0.25">
      <c r="B14" s="2" t="s">
        <v>33</v>
      </c>
    </row>
    <row r="15" spans="1:3" x14ac:dyDescent="0.25">
      <c r="B15" s="4" t="s">
        <v>34</v>
      </c>
      <c r="C15" s="7">
        <v>2700</v>
      </c>
    </row>
    <row r="16" spans="1:3" x14ac:dyDescent="0.25">
      <c r="B16" s="4" t="s">
        <v>35</v>
      </c>
      <c r="C16" s="8">
        <v>0.4</v>
      </c>
    </row>
    <row r="17" spans="1:3" x14ac:dyDescent="0.25">
      <c r="B17" s="4" t="s">
        <v>10</v>
      </c>
      <c r="C17" s="7">
        <v>1600</v>
      </c>
    </row>
    <row r="18" spans="1:3" x14ac:dyDescent="0.25">
      <c r="B18" s="2" t="s">
        <v>36</v>
      </c>
    </row>
    <row r="19" spans="1:3" x14ac:dyDescent="0.25">
      <c r="B19" s="4" t="s">
        <v>40</v>
      </c>
      <c r="C19" s="11">
        <f>C15*(1-C16)+C17</f>
        <v>3220</v>
      </c>
    </row>
    <row r="22" spans="1:3" x14ac:dyDescent="0.25">
      <c r="A22" s="4" t="s">
        <v>41</v>
      </c>
      <c r="B22" s="4" t="s">
        <v>43</v>
      </c>
    </row>
    <row r="23" spans="1:3" x14ac:dyDescent="0.25">
      <c r="B23" s="4" t="s">
        <v>44</v>
      </c>
    </row>
    <row r="24" spans="1:3" x14ac:dyDescent="0.25">
      <c r="B24" s="2" t="s">
        <v>33</v>
      </c>
    </row>
    <row r="25" spans="1:3" x14ac:dyDescent="0.25">
      <c r="B25" s="4" t="s">
        <v>10</v>
      </c>
      <c r="C25" s="7">
        <v>1600</v>
      </c>
    </row>
    <row r="26" spans="1:3" x14ac:dyDescent="0.25">
      <c r="B26" s="4" t="s">
        <v>45</v>
      </c>
      <c r="C26" s="7">
        <v>15000</v>
      </c>
    </row>
    <row r="27" spans="1:3" x14ac:dyDescent="0.25">
      <c r="B27" s="4" t="s">
        <v>46</v>
      </c>
      <c r="C27" s="7">
        <v>14800</v>
      </c>
    </row>
    <row r="28" spans="1:3" x14ac:dyDescent="0.25">
      <c r="B28" s="4" t="s">
        <v>49</v>
      </c>
      <c r="C28" s="7">
        <v>6800</v>
      </c>
    </row>
    <row r="29" spans="1:3" x14ac:dyDescent="0.25">
      <c r="B29" s="4" t="s">
        <v>50</v>
      </c>
      <c r="C29" s="7">
        <v>8200</v>
      </c>
    </row>
    <row r="30" spans="1:3" x14ac:dyDescent="0.25">
      <c r="B30" s="4" t="s">
        <v>51</v>
      </c>
      <c r="C30" s="7">
        <f>1500+300</f>
        <v>1800</v>
      </c>
    </row>
    <row r="31" spans="1:3" x14ac:dyDescent="0.25">
      <c r="B31" s="4" t="s">
        <v>52</v>
      </c>
      <c r="C31" s="7">
        <f>1600+200</f>
        <v>1800</v>
      </c>
    </row>
    <row r="32" spans="1:3" x14ac:dyDescent="0.25">
      <c r="B32" s="4" t="s">
        <v>47</v>
      </c>
      <c r="C32" s="10">
        <f>C27-C26+C25</f>
        <v>1400</v>
      </c>
    </row>
    <row r="33" spans="1:5" x14ac:dyDescent="0.25">
      <c r="B33" s="4" t="s">
        <v>48</v>
      </c>
      <c r="C33" s="10">
        <f>C29-C28-(C31-C30)</f>
        <v>1400</v>
      </c>
    </row>
    <row r="34" spans="1:5" x14ac:dyDescent="0.25">
      <c r="B34" s="4" t="s">
        <v>40</v>
      </c>
      <c r="C34" s="10">
        <f>C19</f>
        <v>3220</v>
      </c>
    </row>
    <row r="36" spans="1:5" x14ac:dyDescent="0.25">
      <c r="B36" s="4" t="s">
        <v>53</v>
      </c>
      <c r="C36" s="11">
        <f>C34-C33-C32</f>
        <v>420</v>
      </c>
    </row>
    <row r="39" spans="1:5" ht="83.25" customHeight="1" x14ac:dyDescent="0.25">
      <c r="A39" s="4" t="s">
        <v>54</v>
      </c>
      <c r="B39" s="39" t="s">
        <v>147</v>
      </c>
      <c r="C39" s="39"/>
      <c r="D39" s="39"/>
      <c r="E39" s="39"/>
    </row>
  </sheetData>
  <mergeCells count="1">
    <mergeCell ref="B39:E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28" workbookViewId="0">
      <selection activeCell="F34" sqref="F34"/>
    </sheetView>
  </sheetViews>
  <sheetFormatPr defaultRowHeight="15.75" x14ac:dyDescent="0.25"/>
  <cols>
    <col min="1" max="1" width="9.140625" style="4"/>
    <col min="2" max="2" width="39.85546875" style="4" customWidth="1"/>
    <col min="3" max="3" width="9.28515625" style="4" bestFit="1" customWidth="1"/>
    <col min="4" max="4" width="13.7109375" style="14" customWidth="1"/>
    <col min="5" max="5" width="13.28515625" style="14" customWidth="1"/>
    <col min="6" max="6" width="12.5703125" style="14" customWidth="1"/>
    <col min="7" max="7" width="12.42578125" style="14" customWidth="1"/>
    <col min="8" max="8" width="14.28515625" style="14" customWidth="1"/>
    <col min="9" max="16384" width="9.140625" style="4"/>
  </cols>
  <sheetData>
    <row r="1" spans="1:8" s="2" customFormat="1" x14ac:dyDescent="0.25">
      <c r="A1" s="2" t="s">
        <v>55</v>
      </c>
      <c r="B1" s="2" t="s">
        <v>56</v>
      </c>
      <c r="D1" s="17"/>
      <c r="E1" s="17"/>
      <c r="F1" s="17"/>
      <c r="G1" s="17"/>
      <c r="H1" s="17"/>
    </row>
    <row r="3" spans="1:8" x14ac:dyDescent="0.25">
      <c r="B3" s="12" t="s">
        <v>57</v>
      </c>
      <c r="C3" s="12"/>
      <c r="D3" s="18"/>
    </row>
    <row r="4" spans="1:8" x14ac:dyDescent="0.25">
      <c r="D4" s="19" t="s">
        <v>58</v>
      </c>
      <c r="E4" s="19" t="s">
        <v>59</v>
      </c>
      <c r="F4" s="19" t="s">
        <v>60</v>
      </c>
      <c r="G4" s="19" t="s">
        <v>61</v>
      </c>
      <c r="H4" s="19" t="s">
        <v>62</v>
      </c>
    </row>
    <row r="5" spans="1:8" x14ac:dyDescent="0.25">
      <c r="B5" s="12" t="s">
        <v>63</v>
      </c>
      <c r="D5" s="14">
        <v>50000</v>
      </c>
      <c r="E5" s="14">
        <v>60000</v>
      </c>
      <c r="F5" s="14">
        <v>70000</v>
      </c>
      <c r="G5" s="14">
        <v>80000</v>
      </c>
      <c r="H5" s="14">
        <v>100000</v>
      </c>
    </row>
    <row r="6" spans="1:8" x14ac:dyDescent="0.25">
      <c r="B6" s="12" t="s">
        <v>64</v>
      </c>
    </row>
    <row r="7" spans="1:8" x14ac:dyDescent="0.25">
      <c r="B7" s="4" t="s">
        <v>65</v>
      </c>
      <c r="C7" s="8">
        <v>0.2</v>
      </c>
      <c r="D7" s="14">
        <f>$C7*D5</f>
        <v>10000</v>
      </c>
      <c r="E7" s="14">
        <f t="shared" ref="E7:H7" si="0">$C7*E5</f>
        <v>12000</v>
      </c>
      <c r="F7" s="14">
        <f t="shared" si="0"/>
        <v>14000</v>
      </c>
      <c r="G7" s="14">
        <f t="shared" si="0"/>
        <v>16000</v>
      </c>
      <c r="H7" s="14">
        <f t="shared" si="0"/>
        <v>20000</v>
      </c>
    </row>
    <row r="8" spans="1:8" x14ac:dyDescent="0.25">
      <c r="B8" s="4" t="s">
        <v>66</v>
      </c>
      <c r="C8" s="8">
        <v>0.6</v>
      </c>
      <c r="E8" s="14">
        <f>$C8*D5</f>
        <v>30000</v>
      </c>
      <c r="F8" s="14">
        <f t="shared" ref="F8:H8" si="1">$C8*E5</f>
        <v>36000</v>
      </c>
      <c r="G8" s="14">
        <f t="shared" si="1"/>
        <v>42000</v>
      </c>
      <c r="H8" s="14">
        <f t="shared" si="1"/>
        <v>48000</v>
      </c>
    </row>
    <row r="9" spans="1:8" x14ac:dyDescent="0.25">
      <c r="B9" s="4" t="s">
        <v>67</v>
      </c>
      <c r="C9" s="8">
        <v>0.2</v>
      </c>
      <c r="F9" s="14">
        <f>$C9*D5</f>
        <v>10000</v>
      </c>
      <c r="G9" s="14">
        <f t="shared" ref="G9:H9" si="2">$C9*E5</f>
        <v>12000</v>
      </c>
      <c r="H9" s="14">
        <f t="shared" si="2"/>
        <v>14000</v>
      </c>
    </row>
    <row r="10" spans="1:8" x14ac:dyDescent="0.25">
      <c r="B10" s="4" t="s">
        <v>68</v>
      </c>
      <c r="D10" s="14">
        <v>2000</v>
      </c>
      <c r="E10" s="14">
        <v>2000</v>
      </c>
      <c r="F10" s="14">
        <v>2000</v>
      </c>
      <c r="G10" s="14">
        <v>2000</v>
      </c>
      <c r="H10" s="14">
        <v>2000</v>
      </c>
    </row>
    <row r="11" spans="1:8" x14ac:dyDescent="0.25">
      <c r="C11" s="4" t="s">
        <v>69</v>
      </c>
      <c r="F11" s="20">
        <f>SUM(F7:F10)</f>
        <v>62000</v>
      </c>
      <c r="G11" s="20">
        <f t="shared" ref="G11:H11" si="3">SUM(G7:G10)</f>
        <v>72000</v>
      </c>
      <c r="H11" s="20">
        <f t="shared" si="3"/>
        <v>84000</v>
      </c>
    </row>
    <row r="13" spans="1:8" x14ac:dyDescent="0.25">
      <c r="B13" s="12" t="s">
        <v>70</v>
      </c>
      <c r="C13" s="12"/>
      <c r="D13" s="18"/>
      <c r="E13" s="18"/>
      <c r="F13" s="19" t="s">
        <v>60</v>
      </c>
      <c r="G13" s="19" t="s">
        <v>61</v>
      </c>
      <c r="H13" s="19" t="s">
        <v>62</v>
      </c>
    </row>
    <row r="14" spans="1:8" x14ac:dyDescent="0.25">
      <c r="B14" s="12" t="s">
        <v>71</v>
      </c>
      <c r="F14" s="14" t="s">
        <v>72</v>
      </c>
    </row>
    <row r="15" spans="1:8" x14ac:dyDescent="0.25">
      <c r="B15" s="12" t="s">
        <v>73</v>
      </c>
      <c r="F15" s="14">
        <v>50000</v>
      </c>
      <c r="G15" s="14">
        <v>70000</v>
      </c>
      <c r="H15" s="14">
        <v>80000</v>
      </c>
    </row>
    <row r="16" spans="1:8" x14ac:dyDescent="0.25">
      <c r="B16" s="4" t="s">
        <v>74</v>
      </c>
      <c r="F16" s="14">
        <v>3000</v>
      </c>
      <c r="G16" s="14">
        <v>3000</v>
      </c>
      <c r="H16" s="14">
        <v>3000</v>
      </c>
    </row>
    <row r="17" spans="2:8" x14ac:dyDescent="0.25">
      <c r="B17" s="4" t="s">
        <v>75</v>
      </c>
      <c r="C17" s="21">
        <v>0.1</v>
      </c>
      <c r="F17" s="14">
        <f>E5*$C17</f>
        <v>6000</v>
      </c>
      <c r="G17" s="14">
        <f t="shared" ref="G17:H17" si="4">F5*$C17</f>
        <v>7000</v>
      </c>
      <c r="H17" s="14">
        <f t="shared" si="4"/>
        <v>8000</v>
      </c>
    </row>
    <row r="18" spans="2:8" x14ac:dyDescent="0.25">
      <c r="B18" s="4" t="s">
        <v>76</v>
      </c>
      <c r="G18" s="14">
        <v>3000</v>
      </c>
    </row>
    <row r="19" spans="2:8" x14ac:dyDescent="0.25">
      <c r="B19" s="4" t="s">
        <v>77</v>
      </c>
      <c r="G19" s="14">
        <v>4000</v>
      </c>
    </row>
    <row r="20" spans="2:8" x14ac:dyDescent="0.25">
      <c r="B20" s="4" t="s">
        <v>78</v>
      </c>
      <c r="H20" s="14">
        <v>6000</v>
      </c>
    </row>
    <row r="21" spans="2:8" x14ac:dyDescent="0.25">
      <c r="B21" s="4" t="s">
        <v>79</v>
      </c>
      <c r="G21" s="14">
        <v>6000</v>
      </c>
    </row>
    <row r="22" spans="2:8" x14ac:dyDescent="0.25">
      <c r="C22" s="4" t="s">
        <v>80</v>
      </c>
      <c r="F22" s="20">
        <f>SUM(F15:F21)</f>
        <v>59000</v>
      </c>
      <c r="G22" s="20">
        <f t="shared" ref="G22:H22" si="5">SUM(G15:G21)</f>
        <v>93000</v>
      </c>
      <c r="H22" s="20">
        <f t="shared" si="5"/>
        <v>97000</v>
      </c>
    </row>
    <row r="24" spans="2:8" x14ac:dyDescent="0.25">
      <c r="B24" s="15" t="s">
        <v>81</v>
      </c>
      <c r="C24" s="12"/>
      <c r="F24" s="19" t="s">
        <v>60</v>
      </c>
      <c r="G24" s="19" t="s">
        <v>61</v>
      </c>
      <c r="H24" s="19" t="s">
        <v>62</v>
      </c>
    </row>
    <row r="26" spans="2:8" x14ac:dyDescent="0.25">
      <c r="B26" s="4" t="s">
        <v>69</v>
      </c>
      <c r="F26" s="22">
        <f>F11</f>
        <v>62000</v>
      </c>
      <c r="G26" s="22">
        <f>G11</f>
        <v>72000</v>
      </c>
      <c r="H26" s="22">
        <f>H11</f>
        <v>84000</v>
      </c>
    </row>
    <row r="27" spans="2:8" x14ac:dyDescent="0.25">
      <c r="B27" s="4" t="s">
        <v>86</v>
      </c>
      <c r="F27" s="14">
        <f>F22</f>
        <v>59000</v>
      </c>
      <c r="G27" s="14">
        <f t="shared" ref="G27:H27" si="6">G22</f>
        <v>93000</v>
      </c>
      <c r="H27" s="14">
        <f t="shared" si="6"/>
        <v>97000</v>
      </c>
    </row>
    <row r="28" spans="2:8" x14ac:dyDescent="0.25">
      <c r="C28" s="4" t="s">
        <v>82</v>
      </c>
      <c r="F28" s="14">
        <f>F26-F27</f>
        <v>3000</v>
      </c>
      <c r="G28" s="14">
        <f t="shared" ref="G28:H28" si="7">G26-G27</f>
        <v>-21000</v>
      </c>
      <c r="H28" s="14">
        <f t="shared" si="7"/>
        <v>-13000</v>
      </c>
    </row>
    <row r="29" spans="2:8" x14ac:dyDescent="0.25">
      <c r="B29" s="4" t="s">
        <v>83</v>
      </c>
      <c r="F29" s="14">
        <v>5000</v>
      </c>
      <c r="G29" s="14">
        <f>F28+F29</f>
        <v>8000</v>
      </c>
      <c r="H29" s="14">
        <f>G28+G29</f>
        <v>-13000</v>
      </c>
    </row>
    <row r="30" spans="2:8" x14ac:dyDescent="0.25">
      <c r="B30" s="4" t="s">
        <v>84</v>
      </c>
      <c r="F30" s="14">
        <f>F28+F29</f>
        <v>8000</v>
      </c>
      <c r="G30" s="14">
        <f t="shared" ref="G30:H30" si="8">G28+G29</f>
        <v>-13000</v>
      </c>
      <c r="H30" s="14">
        <f t="shared" si="8"/>
        <v>-26000</v>
      </c>
    </row>
    <row r="31" spans="2:8" x14ac:dyDescent="0.25">
      <c r="B31" s="4" t="s">
        <v>85</v>
      </c>
      <c r="F31" s="14">
        <v>5000</v>
      </c>
      <c r="G31" s="14">
        <v>5000</v>
      </c>
      <c r="H31" s="14">
        <v>5000</v>
      </c>
    </row>
    <row r="32" spans="2:8" x14ac:dyDescent="0.25">
      <c r="B32" s="4" t="s">
        <v>87</v>
      </c>
      <c r="F32" s="20"/>
      <c r="G32" s="20">
        <f>(G30-G31)*-1</f>
        <v>18000</v>
      </c>
      <c r="H32" s="20">
        <f>(H30-H31)*-1</f>
        <v>31000</v>
      </c>
    </row>
    <row r="33" spans="2:8" x14ac:dyDescent="0.25">
      <c r="F33" s="23"/>
      <c r="G33" s="23"/>
      <c r="H33" s="23"/>
    </row>
    <row r="34" spans="2:8" x14ac:dyDescent="0.25">
      <c r="B34" s="4" t="s">
        <v>146</v>
      </c>
      <c r="F34" s="20">
        <f>F30-F31</f>
        <v>3000</v>
      </c>
      <c r="G34" s="20"/>
      <c r="H34" s="20"/>
    </row>
    <row r="36" spans="2:8" x14ac:dyDescent="0.25">
      <c r="B36" s="4" t="s">
        <v>88</v>
      </c>
      <c r="D36" s="4"/>
    </row>
    <row r="37" spans="2:8" x14ac:dyDescent="0.25">
      <c r="B37" s="40" t="s">
        <v>150</v>
      </c>
      <c r="C37" s="40"/>
      <c r="D37" s="40"/>
    </row>
  </sheetData>
  <mergeCells count="1">
    <mergeCell ref="B37:D37"/>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A6" workbookViewId="0">
      <selection activeCell="B23" sqref="B23:I23"/>
    </sheetView>
  </sheetViews>
  <sheetFormatPr defaultRowHeight="15.75" x14ac:dyDescent="0.25"/>
  <cols>
    <col min="1" max="1" width="9.140625" style="25"/>
    <col min="2" max="2" width="44.85546875" style="25" customWidth="1"/>
    <col min="3" max="3" width="13.42578125" style="30" customWidth="1"/>
    <col min="4" max="6" width="9.140625" style="25"/>
    <col min="7" max="7" width="42.42578125" style="25" customWidth="1"/>
    <col min="8" max="8" width="13.42578125" style="25" customWidth="1"/>
    <col min="9" max="16384" width="9.140625" style="25"/>
  </cols>
  <sheetData>
    <row r="1" spans="1:8" s="24" customFormat="1" x14ac:dyDescent="0.25">
      <c r="A1" s="24" t="s">
        <v>90</v>
      </c>
      <c r="B1" s="24" t="s">
        <v>89</v>
      </c>
      <c r="C1" s="29"/>
    </row>
    <row r="2" spans="1:8" x14ac:dyDescent="0.25">
      <c r="G2" s="41" t="s">
        <v>91</v>
      </c>
      <c r="H2" s="41"/>
    </row>
    <row r="3" spans="1:8" ht="15.75" customHeight="1" x14ac:dyDescent="0.25">
      <c r="B3" s="41" t="s">
        <v>91</v>
      </c>
      <c r="C3" s="41"/>
      <c r="G3" s="41" t="s">
        <v>92</v>
      </c>
      <c r="H3" s="41"/>
    </row>
    <row r="4" spans="1:8" ht="15.75" customHeight="1" x14ac:dyDescent="0.25">
      <c r="B4" s="41" t="s">
        <v>92</v>
      </c>
      <c r="C4" s="41"/>
      <c r="G4" s="41" t="s">
        <v>102</v>
      </c>
      <c r="H4" s="41"/>
    </row>
    <row r="5" spans="1:8" ht="15.75" customHeight="1" x14ac:dyDescent="0.25">
      <c r="B5" s="41" t="s">
        <v>102</v>
      </c>
      <c r="C5" s="41"/>
      <c r="G5" s="41" t="s">
        <v>103</v>
      </c>
      <c r="H5" s="41"/>
    </row>
    <row r="6" spans="1:8" ht="15.75" customHeight="1" x14ac:dyDescent="0.25">
      <c r="B6" s="41" t="s">
        <v>93</v>
      </c>
      <c r="C6" s="41"/>
      <c r="G6" s="25" t="s">
        <v>94</v>
      </c>
      <c r="H6" s="26">
        <v>1500000</v>
      </c>
    </row>
    <row r="7" spans="1:8" ht="16.5" customHeight="1" x14ac:dyDescent="0.25">
      <c r="B7" s="31" t="s">
        <v>94</v>
      </c>
      <c r="C7" s="26">
        <v>1500000</v>
      </c>
      <c r="G7" s="25" t="s">
        <v>111</v>
      </c>
    </row>
    <row r="8" spans="1:8" x14ac:dyDescent="0.25">
      <c r="B8" s="31" t="s">
        <v>108</v>
      </c>
      <c r="C8" s="32">
        <f>0.65*C7</f>
        <v>975000</v>
      </c>
      <c r="G8" s="25" t="s">
        <v>104</v>
      </c>
      <c r="H8" s="27">
        <v>210000</v>
      </c>
    </row>
    <row r="9" spans="1:8" x14ac:dyDescent="0.25">
      <c r="B9" s="31" t="s">
        <v>95</v>
      </c>
      <c r="C9" s="33">
        <f>C7-C8</f>
        <v>525000</v>
      </c>
      <c r="G9" s="25" t="s">
        <v>105</v>
      </c>
      <c r="H9" s="28">
        <f>H6*0.5</f>
        <v>750000</v>
      </c>
    </row>
    <row r="10" spans="1:8" x14ac:dyDescent="0.25">
      <c r="B10" s="31" t="s">
        <v>109</v>
      </c>
      <c r="C10" s="32">
        <f>C7*0.0857</f>
        <v>128550</v>
      </c>
      <c r="G10" s="25" t="s">
        <v>95</v>
      </c>
      <c r="H10" s="26">
        <f>H6-H8-H9</f>
        <v>540000</v>
      </c>
    </row>
    <row r="11" spans="1:8" x14ac:dyDescent="0.25">
      <c r="B11" s="31" t="s">
        <v>96</v>
      </c>
      <c r="C11" s="33">
        <f>C9-C10</f>
        <v>396450</v>
      </c>
      <c r="G11" s="25" t="s">
        <v>112</v>
      </c>
    </row>
    <row r="12" spans="1:8" x14ac:dyDescent="0.25">
      <c r="B12" s="31" t="s">
        <v>97</v>
      </c>
      <c r="C12" s="32">
        <v>35000</v>
      </c>
      <c r="G12" s="25" t="s">
        <v>106</v>
      </c>
      <c r="H12" s="27">
        <v>36000</v>
      </c>
    </row>
    <row r="13" spans="1:8" x14ac:dyDescent="0.25">
      <c r="B13" s="31" t="s">
        <v>98</v>
      </c>
      <c r="C13" s="33">
        <f>C11-C12</f>
        <v>361450</v>
      </c>
      <c r="G13" s="25" t="s">
        <v>107</v>
      </c>
      <c r="H13" s="28">
        <f>H6*0.06</f>
        <v>90000</v>
      </c>
    </row>
    <row r="14" spans="1:8" x14ac:dyDescent="0.25">
      <c r="B14" s="31" t="s">
        <v>110</v>
      </c>
      <c r="C14" s="32">
        <f>C13*0.4</f>
        <v>144580</v>
      </c>
      <c r="G14" s="25" t="s">
        <v>96</v>
      </c>
      <c r="H14" s="26">
        <f>H10-H12-H13</f>
        <v>414000</v>
      </c>
    </row>
    <row r="15" spans="1:8" x14ac:dyDescent="0.25">
      <c r="B15" s="31" t="s">
        <v>99</v>
      </c>
      <c r="C15" s="33">
        <f>C13-C14</f>
        <v>216870</v>
      </c>
      <c r="G15" s="25" t="s">
        <v>113</v>
      </c>
      <c r="H15" s="28">
        <v>35000</v>
      </c>
    </row>
    <row r="16" spans="1:8" x14ac:dyDescent="0.25">
      <c r="B16" s="31" t="s">
        <v>100</v>
      </c>
      <c r="C16" s="32">
        <v>70000</v>
      </c>
      <c r="G16" s="25" t="s">
        <v>98</v>
      </c>
      <c r="H16" s="26">
        <f>H14-H15</f>
        <v>379000</v>
      </c>
    </row>
    <row r="17" spans="1:9" x14ac:dyDescent="0.25">
      <c r="B17" s="31" t="s">
        <v>101</v>
      </c>
      <c r="C17" s="33">
        <f>C15-C16</f>
        <v>146870</v>
      </c>
      <c r="G17" s="25" t="s">
        <v>114</v>
      </c>
      <c r="H17" s="28">
        <f>H16*0.4</f>
        <v>151600</v>
      </c>
    </row>
    <row r="18" spans="1:9" x14ac:dyDescent="0.25">
      <c r="G18" s="25" t="s">
        <v>99</v>
      </c>
      <c r="H18" s="26">
        <f>H16-H17</f>
        <v>227400</v>
      </c>
    </row>
    <row r="19" spans="1:9" x14ac:dyDescent="0.25">
      <c r="G19" s="25" t="s">
        <v>115</v>
      </c>
      <c r="H19" s="28">
        <v>70000</v>
      </c>
    </row>
    <row r="20" spans="1:9" x14ac:dyDescent="0.25">
      <c r="G20" s="25" t="s">
        <v>101</v>
      </c>
      <c r="H20" s="26">
        <f>H18-H19</f>
        <v>157400</v>
      </c>
    </row>
    <row r="23" spans="1:9" ht="48.75" customHeight="1" x14ac:dyDescent="0.25">
      <c r="A23" s="24" t="s">
        <v>41</v>
      </c>
      <c r="B23" s="39" t="s">
        <v>149</v>
      </c>
      <c r="C23" s="39"/>
      <c r="D23" s="39"/>
      <c r="E23" s="39"/>
      <c r="F23" s="39"/>
      <c r="G23" s="39"/>
      <c r="H23" s="39"/>
      <c r="I23" s="39"/>
    </row>
  </sheetData>
  <mergeCells count="9">
    <mergeCell ref="G2:H2"/>
    <mergeCell ref="B23:I23"/>
    <mergeCell ref="B3:C3"/>
    <mergeCell ref="B4:C4"/>
    <mergeCell ref="B5:C5"/>
    <mergeCell ref="B6:C6"/>
    <mergeCell ref="G3:H3"/>
    <mergeCell ref="G4:H4"/>
    <mergeCell ref="G5:H5"/>
  </mergeCells>
  <pageMargins left="0.7" right="0.7" top="0.75" bottom="0.75" header="0.3" footer="0.3"/>
  <pageSetup paperSize="9" orientation="portrait" horizontalDpi="300" verticalDpi="300" r:id="rId1"/>
  <ignoredErrors>
    <ignoredError sqref="C10 C14 H1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topLeftCell="A2" workbookViewId="0">
      <selection activeCell="H5" sqref="H5"/>
    </sheetView>
  </sheetViews>
  <sheetFormatPr defaultRowHeight="15.75" x14ac:dyDescent="0.25"/>
  <cols>
    <col min="1" max="1" width="9.140625" style="4"/>
    <col min="2" max="2" width="33.28515625" style="4" customWidth="1"/>
    <col min="3" max="3" width="13.5703125" style="4" customWidth="1"/>
    <col min="4" max="4" width="32" style="4" customWidth="1"/>
    <col min="5" max="6" width="15" style="4" customWidth="1"/>
    <col min="7" max="7" width="9.140625" style="4"/>
    <col min="8" max="8" width="17.5703125" style="4" customWidth="1"/>
    <col min="9" max="9" width="31" style="4" customWidth="1"/>
    <col min="10" max="16384" width="9.140625" style="4"/>
  </cols>
  <sheetData>
    <row r="2" spans="1:6" s="2" customFormat="1" x14ac:dyDescent="0.25">
      <c r="A2" s="2" t="s">
        <v>143</v>
      </c>
    </row>
    <row r="3" spans="1:6" x14ac:dyDescent="0.25">
      <c r="A3" s="4" t="s">
        <v>30</v>
      </c>
      <c r="B3" s="38" t="s">
        <v>116</v>
      </c>
      <c r="C3" s="38"/>
      <c r="D3" s="38"/>
      <c r="E3" s="38"/>
      <c r="F3" s="1"/>
    </row>
    <row r="4" spans="1:6" x14ac:dyDescent="0.25">
      <c r="B4" s="38" t="s">
        <v>117</v>
      </c>
      <c r="C4" s="38"/>
      <c r="D4" s="38"/>
      <c r="E4" s="38"/>
      <c r="F4" s="1"/>
    </row>
    <row r="5" spans="1:6" x14ac:dyDescent="0.25">
      <c r="B5" s="42">
        <v>42004</v>
      </c>
      <c r="C5" s="42"/>
      <c r="D5" s="42"/>
      <c r="E5" s="42"/>
      <c r="F5" s="34"/>
    </row>
    <row r="6" spans="1:6" s="2" customFormat="1" x14ac:dyDescent="0.25">
      <c r="B6" s="38" t="s">
        <v>118</v>
      </c>
      <c r="C6" s="38"/>
      <c r="D6" s="38" t="s">
        <v>127</v>
      </c>
      <c r="E6" s="38"/>
      <c r="F6" s="1"/>
    </row>
    <row r="7" spans="1:6" x14ac:dyDescent="0.25">
      <c r="B7" s="4" t="s">
        <v>119</v>
      </c>
      <c r="D7" s="4" t="s">
        <v>128</v>
      </c>
    </row>
    <row r="8" spans="1:6" x14ac:dyDescent="0.25">
      <c r="B8" s="4" t="s">
        <v>120</v>
      </c>
      <c r="C8" s="13">
        <v>480000</v>
      </c>
      <c r="D8" s="4" t="s">
        <v>129</v>
      </c>
      <c r="E8" s="13">
        <f>0.14*12000000</f>
        <v>1680000.0000000002</v>
      </c>
      <c r="F8" s="13"/>
    </row>
    <row r="9" spans="1:6" x14ac:dyDescent="0.25">
      <c r="B9" s="4" t="s">
        <v>121</v>
      </c>
      <c r="C9" s="35">
        <v>200000</v>
      </c>
      <c r="D9" s="4" t="s">
        <v>130</v>
      </c>
      <c r="E9" s="35">
        <v>500000</v>
      </c>
      <c r="F9" s="35"/>
    </row>
    <row r="10" spans="1:6" x14ac:dyDescent="0.25">
      <c r="B10" s="4" t="s">
        <v>122</v>
      </c>
      <c r="C10" s="35">
        <f>0.12*12000000</f>
        <v>1440000</v>
      </c>
      <c r="D10" s="4" t="s">
        <v>131</v>
      </c>
      <c r="E10" s="36">
        <v>80000</v>
      </c>
      <c r="F10" s="35"/>
    </row>
    <row r="11" spans="1:6" x14ac:dyDescent="0.25">
      <c r="B11" s="4" t="s">
        <v>123</v>
      </c>
      <c r="C11" s="36">
        <f>0.18*12000000</f>
        <v>2160000</v>
      </c>
      <c r="D11" s="4" t="s">
        <v>132</v>
      </c>
      <c r="E11" s="13">
        <f>SUM(E8:E10)</f>
        <v>2260000</v>
      </c>
      <c r="F11" s="13"/>
    </row>
    <row r="12" spans="1:6" x14ac:dyDescent="0.25">
      <c r="B12" s="4" t="s">
        <v>124</v>
      </c>
      <c r="C12" s="13">
        <f>SUM(C8:C11)</f>
        <v>4280000</v>
      </c>
      <c r="D12" s="4" t="s">
        <v>133</v>
      </c>
      <c r="E12" s="36">
        <v>2000000</v>
      </c>
      <c r="F12" s="35"/>
    </row>
    <row r="13" spans="1:6" x14ac:dyDescent="0.25">
      <c r="B13" s="4" t="s">
        <v>125</v>
      </c>
      <c r="C13" s="35">
        <f>4000000+850000+650000-290000-390000</f>
        <v>4820000</v>
      </c>
      <c r="D13" s="4" t="s">
        <v>134</v>
      </c>
      <c r="E13" s="13">
        <f>E11+E12</f>
        <v>4260000</v>
      </c>
      <c r="F13" s="13"/>
    </row>
    <row r="14" spans="1:6" x14ac:dyDescent="0.25">
      <c r="B14" s="4" t="s">
        <v>126</v>
      </c>
      <c r="C14" s="37">
        <f>C12+C13</f>
        <v>9100000</v>
      </c>
      <c r="D14" s="4" t="s">
        <v>135</v>
      </c>
      <c r="E14" s="35">
        <f>3720000+(0.03*12000000*0.5)+(0.03*11000000*0.5)</f>
        <v>4065000</v>
      </c>
    </row>
    <row r="15" spans="1:6" x14ac:dyDescent="0.25">
      <c r="D15" s="4" t="s">
        <v>136</v>
      </c>
      <c r="E15" s="35">
        <v>775000</v>
      </c>
      <c r="F15" s="35"/>
    </row>
    <row r="16" spans="1:6" x14ac:dyDescent="0.25">
      <c r="D16" s="4" t="s">
        <v>137</v>
      </c>
      <c r="E16" s="37">
        <f>SUM(E13:E15)</f>
        <v>9100000</v>
      </c>
      <c r="F16" s="13"/>
    </row>
    <row r="19" spans="1:8" x14ac:dyDescent="0.25">
      <c r="A19" s="2" t="s">
        <v>139</v>
      </c>
      <c r="B19" s="16" t="s">
        <v>140</v>
      </c>
      <c r="C19" s="16" t="s">
        <v>138</v>
      </c>
    </row>
    <row r="20" spans="1:8" s="16" customFormat="1" x14ac:dyDescent="0.25">
      <c r="B20" s="16" t="s">
        <v>141</v>
      </c>
      <c r="C20" s="16" t="s">
        <v>142</v>
      </c>
    </row>
    <row r="23" spans="1:8" x14ac:dyDescent="0.25">
      <c r="A23" s="4" t="s">
        <v>38</v>
      </c>
      <c r="B23" s="4" t="s">
        <v>144</v>
      </c>
    </row>
    <row r="24" spans="1:8" x14ac:dyDescent="0.25">
      <c r="B24" s="40" t="s">
        <v>145</v>
      </c>
      <c r="C24" s="40"/>
      <c r="D24" s="40"/>
      <c r="E24" s="40"/>
      <c r="F24" s="40"/>
      <c r="G24" s="40"/>
      <c r="H24" s="40"/>
    </row>
  </sheetData>
  <mergeCells count="6">
    <mergeCell ref="B6:C6"/>
    <mergeCell ref="D6:E6"/>
    <mergeCell ref="B24:H24"/>
    <mergeCell ref="B3:E3"/>
    <mergeCell ref="B4:E4"/>
    <mergeCell ref="B5: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P4-5</vt:lpstr>
      <vt:lpstr>P4-6</vt:lpstr>
      <vt:lpstr>P4-9</vt:lpstr>
      <vt:lpstr>P4-15</vt:lpstr>
      <vt:lpstr>P4-18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2019-02-01T07:58:07Z</dcterms:created>
  <dcterms:modified xsi:type="dcterms:W3CDTF">2019-02-01T13:37:46Z</dcterms:modified>
</cp:coreProperties>
</file>